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Feuille1" sheetId="1" r:id="rId1"/>
    <sheet name="Calcul" sheetId="2" r:id="rId2"/>
    <sheet name="table1" sheetId="3" r:id="rId3"/>
    <sheet name="Table2" sheetId="4" r:id="rId4"/>
  </sheets>
  <definedNames>
    <definedName name="Diametre">'Table2'!$J$4:$J$18</definedName>
  </definedNames>
  <calcPr fullCalcOnLoad="1"/>
</workbook>
</file>

<file path=xl/sharedStrings.xml><?xml version="1.0" encoding="utf-8"?>
<sst xmlns="http://schemas.openxmlformats.org/spreadsheetml/2006/main" count="73" uniqueCount="59">
  <si>
    <t>Puissance Consommée</t>
  </si>
  <si>
    <t>Vitesse désirée</t>
  </si>
  <si>
    <t>Nombre d ' élements Lipo</t>
  </si>
  <si>
    <t>Diametre réel de l' hélice</t>
  </si>
  <si>
    <t>Pas réel</t>
  </si>
  <si>
    <t>Vitesse avec cette hélice</t>
  </si>
  <si>
    <t>Vitesse de rotation</t>
  </si>
  <si>
    <t>Traction</t>
  </si>
  <si>
    <t>Masse moyenne du moteur</t>
  </si>
  <si>
    <t>Intensité</t>
  </si>
  <si>
    <t>Tension</t>
  </si>
  <si>
    <t>kv</t>
  </si>
  <si>
    <t>Type d' hélice recommandé</t>
  </si>
  <si>
    <t>Rendement</t>
  </si>
  <si>
    <t>Coef Bouchet</t>
  </si>
  <si>
    <t>Puissance à l ' arbre</t>
  </si>
  <si>
    <t>Coef Abbot</t>
  </si>
  <si>
    <t>Vitesse du pas</t>
  </si>
  <si>
    <t>Coefficient de pas</t>
  </si>
  <si>
    <t>Dia réel</t>
  </si>
  <si>
    <t>N3</t>
  </si>
  <si>
    <t>N</t>
  </si>
  <si>
    <t>Vitesse du pas réele</t>
  </si>
  <si>
    <t>Vitesse réele</t>
  </si>
  <si>
    <t>Kv max</t>
  </si>
  <si>
    <t>Kv min</t>
  </si>
  <si>
    <t>kvm</t>
  </si>
  <si>
    <t>m moteur</t>
  </si>
  <si>
    <t>vp/vvol</t>
  </si>
  <si>
    <t>D</t>
  </si>
  <si>
    <t>P</t>
  </si>
  <si>
    <t>Kv mini</t>
  </si>
  <si>
    <t>Kv MAXI</t>
  </si>
  <si>
    <t>P/D</t>
  </si>
  <si>
    <t>ND</t>
  </si>
  <si>
    <t>P/D&gt;0,3</t>
  </si>
  <si>
    <t>P/D&lt;1,45</t>
  </si>
  <si>
    <t>ND&lt;195000</t>
  </si>
  <si>
    <t>cumul conditions</t>
  </si>
  <si>
    <t>TYPE</t>
  </si>
  <si>
    <t>ND Maxi</t>
  </si>
  <si>
    <t>Source</t>
  </si>
  <si>
    <t>GWS RS</t>
  </si>
  <si>
    <t>RC Group</t>
  </si>
  <si>
    <t>APC SF</t>
  </si>
  <si>
    <t>APC</t>
  </si>
  <si>
    <t>GWS SF</t>
  </si>
  <si>
    <t>GWS HD</t>
  </si>
  <si>
    <t>APC : SPORT, SPEED-400</t>
  </si>
  <si>
    <t>APC E &gt;6''</t>
  </si>
  <si>
    <t>APC : SPORT , SPEED-400 , THIN ELECTRIC , FOLDING</t>
  </si>
  <si>
    <t>APC Folder</t>
  </si>
  <si>
    <t>APC : SPORT , SPEED-400 , THIN ELECTRIC , FOLDING + GWS HD , DD</t>
  </si>
  <si>
    <t>APC E &lt;6''</t>
  </si>
  <si>
    <t>APC : SPORT , SPEED-400 , THIN ELECTRIC , FOLDING , SLOW FLY + GWS HD , DD , SLOW FLY</t>
  </si>
  <si>
    <t>APC SPORT</t>
  </si>
  <si>
    <t>APC : SPORT , SPEED-400 , THIN ELECTRIC , FOLDING , SLOW FLY + GWS HD , DD , SLOW FLY , RS</t>
  </si>
  <si>
    <t>Dia</t>
  </si>
  <si>
    <t>Pas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</si>
</sst>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\ ##0&quot; W&quot;"/>
    <numFmt numFmtId="166" formatCode="#,##0&quot; km/h&quot;"/>
    <numFmt numFmtId="167" formatCode="#,##0.0&quot; &quot;&quot;"/>
    <numFmt numFmtId="168" formatCode="#\ ##0&quot; tr/mn&quot;"/>
    <numFmt numFmtId="169" formatCode="0&quot; g&quot;"/>
    <numFmt numFmtId="170" formatCode="#\ ##0&quot; g&quot;"/>
    <numFmt numFmtId="171" formatCode="#,##0.0&quot; A&quot;"/>
    <numFmt numFmtId="172" formatCode="#,##0.0&quot; V&quot;"/>
    <numFmt numFmtId="173" formatCode="#\ ##0&quot; tr/mn/V&quot;"/>
    <numFmt numFmtId="174" formatCode="#,##0&quot; g&quot;"/>
    <numFmt numFmtId="175" formatCode="0.00E+000"/>
    <numFmt numFmtId="176" formatCode="0"/>
    <numFmt numFmtId="177" formatCode="&quot;ND = &quot;0&quot; K&quot;"/>
    <numFmt numFmtId="178" formatCode="0&quot; K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27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4" borderId="1" xfId="0" applyFont="1" applyFill="1" applyBorder="1" applyAlignment="1">
      <alignment horizontal="left" vertical="center" indent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166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3" borderId="1" xfId="0" applyFont="1" applyFill="1" applyBorder="1" applyAlignment="1">
      <alignment horizontal="left" vertical="center" indent="1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Font="1" applyFill="1" applyBorder="1" applyAlignment="1">
      <alignment horizontal="left" vertical="center" indent="1"/>
    </xf>
    <xf numFmtId="166" fontId="1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169" fontId="1" fillId="5" borderId="1" xfId="0" applyNumberFormat="1" applyFont="1" applyFill="1" applyBorder="1" applyAlignment="1">
      <alignment horizontal="center" vertical="center"/>
    </xf>
    <xf numFmtId="170" fontId="1" fillId="5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1" fontId="1" fillId="5" borderId="1" xfId="0" applyNumberFormat="1" applyFont="1" applyFill="1" applyBorder="1" applyAlignment="1">
      <alignment horizontal="center" vertical="center"/>
    </xf>
    <xf numFmtId="172" fontId="1" fillId="5" borderId="1" xfId="0" applyNumberFormat="1" applyFont="1" applyFill="1" applyBorder="1" applyAlignment="1">
      <alignment horizontal="center" vertical="center"/>
    </xf>
    <xf numFmtId="173" fontId="1" fillId="5" borderId="1" xfId="0" applyNumberFormat="1" applyFont="1" applyFill="1" applyBorder="1" applyAlignment="1">
      <alignment horizontal="center" vertical="center"/>
    </xf>
    <xf numFmtId="174" fontId="3" fillId="5" borderId="1" xfId="0" applyNumberFormat="1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1" fillId="5" borderId="0" xfId="0" applyFont="1" applyFill="1" applyAlignment="1">
      <alignment/>
    </xf>
    <xf numFmtId="164" fontId="0" fillId="5" borderId="0" xfId="0" applyFill="1" applyAlignment="1">
      <alignment horizontal="center"/>
    </xf>
    <xf numFmtId="175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" fillId="6" borderId="0" xfId="0" applyFont="1" applyFill="1" applyAlignment="1">
      <alignment/>
    </xf>
    <xf numFmtId="164" fontId="0" fillId="6" borderId="0" xfId="0" applyFill="1" applyAlignment="1">
      <alignment horizontal="center"/>
    </xf>
    <xf numFmtId="164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164" fontId="1" fillId="7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64" fontId="1" fillId="5" borderId="0" xfId="0" applyFont="1" applyFill="1" applyAlignment="1">
      <alignment horizontal="center" vertical="center"/>
    </xf>
    <xf numFmtId="178" fontId="1" fillId="5" borderId="0" xfId="0" applyNumberFormat="1" applyFont="1" applyFill="1" applyAlignment="1">
      <alignment horizontal="center" vertical="center"/>
    </xf>
    <xf numFmtId="164" fontId="1" fillId="8" borderId="0" xfId="0" applyFont="1" applyFill="1" applyAlignment="1">
      <alignment horizontal="center" vertical="center"/>
    </xf>
    <xf numFmtId="178" fontId="1" fillId="8" borderId="0" xfId="0" applyNumberFormat="1" applyFont="1" applyFill="1" applyAlignment="1">
      <alignment horizontal="center" vertical="center"/>
    </xf>
    <xf numFmtId="164" fontId="0" fillId="0" borderId="0" xfId="0" applyFont="1" applyAlignment="1">
      <alignment horizontal="left"/>
    </xf>
    <xf numFmtId="164" fontId="1" fillId="3" borderId="0" xfId="0" applyFont="1" applyFill="1" applyAlignment="1">
      <alignment horizontal="center" vertical="center"/>
    </xf>
    <xf numFmtId="178" fontId="1" fillId="3" borderId="0" xfId="0" applyNumberFormat="1" applyFont="1" applyFill="1" applyAlignment="1">
      <alignment horizontal="center" vertical="center"/>
    </xf>
    <xf numFmtId="164" fontId="1" fillId="9" borderId="0" xfId="0" applyFont="1" applyFill="1" applyAlignment="1">
      <alignment horizontal="center" vertical="center"/>
    </xf>
    <xf numFmtId="178" fontId="1" fillId="9" borderId="0" xfId="0" applyNumberFormat="1" applyFont="1" applyFill="1" applyAlignment="1">
      <alignment horizontal="center" vertical="center"/>
    </xf>
    <xf numFmtId="164" fontId="0" fillId="0" borderId="0" xfId="0" applyAlignment="1">
      <alignment horizontal="left"/>
    </xf>
    <xf numFmtId="176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" xfId="20"/>
    <cellStyle name="goou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Pas en fonction du diametre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Table2!$B$1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Table2!$A$2:$A$18</c:f>
              <c:numCache/>
            </c:numRef>
          </c:cat>
          <c:val>
            <c:numRef>
              <c:f>Table2!$B$2:$B$18</c:f>
              <c:numCache/>
            </c:numRef>
          </c:val>
          <c:smooth val="1"/>
        </c:ser>
        <c:marker val="1"/>
        <c:axId val="57592935"/>
        <c:axId val="48574368"/>
      </c:lineChart>
      <c:catAx>
        <c:axId val="57592935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2800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4368"/>
        <c:crossesAt val="0"/>
        <c:auto val="1"/>
        <c:lblOffset val="100"/>
        <c:noMultiLvlLbl val="0"/>
      </c:catAx>
      <c:valAx>
        <c:axId val="485743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4700B8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92935"/>
        <c:crossesAt val="1"/>
        <c:crossBetween val="midCat"/>
        <c:dispUnits/>
        <c:majorUnit val="1"/>
        <c:minorUnit val="1"/>
      </c:valAx>
      <c:spPr>
        <a:noFill/>
        <a:ln w="3175">
          <a:solidFill>
            <a:srgbClr val="4700B8"/>
          </a:solidFill>
        </a:ln>
      </c:spPr>
    </c:plotArea>
    <c:legend>
      <c:legendPos val="l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28575</xdr:rowOff>
    </xdr:from>
    <xdr:to>
      <xdr:col>7</xdr:col>
      <xdr:colOff>304800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71475" y="1676400"/>
        <a:ext cx="97917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7"/>
  <sheetViews>
    <sheetView tabSelected="1" defaultGridColor="0" colorId="9" workbookViewId="0" topLeftCell="A1">
      <selection activeCell="C1" sqref="C1"/>
    </sheetView>
  </sheetViews>
  <sheetFormatPr defaultColWidth="12.57421875" defaultRowHeight="12.75"/>
  <cols>
    <col min="1" max="1" width="19.7109375" style="0" customWidth="1"/>
    <col min="2" max="2" width="32.8515625" style="0" customWidth="1"/>
    <col min="4" max="4" width="25.28125" style="0" customWidth="1"/>
    <col min="5" max="5" width="11.00390625" style="0" customWidth="1"/>
    <col min="6" max="6" width="33.00390625" style="0" customWidth="1"/>
    <col min="7" max="7" width="13.421875" style="0" customWidth="1"/>
    <col min="8" max="8" width="13.00390625" style="0" customWidth="1"/>
    <col min="9" max="9" width="9.00390625" style="0" customWidth="1"/>
    <col min="10" max="16384" width="11.57421875" style="0" customWidth="1"/>
  </cols>
  <sheetData>
    <row r="1" ht="23.25" customHeight="1"/>
    <row r="2" ht="21" customHeight="1"/>
    <row r="3" spans="2:7" s="1" customFormat="1" ht="16.5" customHeight="1">
      <c r="B3" s="2" t="s">
        <v>0</v>
      </c>
      <c r="C3" s="3">
        <v>160</v>
      </c>
      <c r="D3" s="2" t="s">
        <v>1</v>
      </c>
      <c r="E3" s="4">
        <v>65</v>
      </c>
      <c r="F3" s="2" t="s">
        <v>2</v>
      </c>
      <c r="G3" s="5">
        <v>3</v>
      </c>
    </row>
    <row r="4" spans="2:7" s="6" customFormat="1" ht="16.5" customHeight="1">
      <c r="B4" s="7" t="s">
        <v>3</v>
      </c>
      <c r="C4" s="8">
        <v>6</v>
      </c>
      <c r="D4" s="7" t="s">
        <v>4</v>
      </c>
      <c r="E4" s="8">
        <v>2.6</v>
      </c>
      <c r="F4" s="9" t="s">
        <v>5</v>
      </c>
      <c r="G4" s="10">
        <f>Calcul!B14</f>
        <v>64.30129149457758</v>
      </c>
    </row>
    <row r="5" spans="2:9" s="6" customFormat="1" ht="16.5" customHeight="1">
      <c r="B5" s="9" t="s">
        <v>6</v>
      </c>
      <c r="C5" s="11">
        <f>Calcul!B12</f>
        <v>19473.437763348753</v>
      </c>
      <c r="D5" s="9" t="s">
        <v>7</v>
      </c>
      <c r="E5" s="12">
        <f>Calcul!B15</f>
        <v>802.4722179079613</v>
      </c>
      <c r="F5" s="9" t="s">
        <v>8</v>
      </c>
      <c r="G5" s="13">
        <f>1400*C3/G6/G3</f>
        <v>31.057690344655175</v>
      </c>
      <c r="H5" s="14"/>
      <c r="I5" s="14"/>
    </row>
    <row r="6" spans="2:7" s="6" customFormat="1" ht="18" customHeight="1">
      <c r="B6" s="9" t="s">
        <v>9</v>
      </c>
      <c r="C6" s="15">
        <f>Calcul!B8</f>
        <v>14.814814814814813</v>
      </c>
      <c r="D6" s="9" t="s">
        <v>10</v>
      </c>
      <c r="E6" s="16">
        <f>Calcul!B7</f>
        <v>10.8</v>
      </c>
      <c r="F6" s="9" t="s">
        <v>11</v>
      </c>
      <c r="G6" s="17">
        <f>Calcul!B16</f>
        <v>2404.1281189319448</v>
      </c>
    </row>
    <row r="7" spans="2:9" s="6" customFormat="1" ht="18" customHeight="1">
      <c r="B7" s="9" t="s">
        <v>12</v>
      </c>
      <c r="C7" s="18" t="str">
        <f>table1!G32</f>
        <v>APC : SPORT , SPEED-400 , THIN ELECTRIC , FOLDING</v>
      </c>
      <c r="D7" s="18"/>
      <c r="E7" s="18"/>
      <c r="F7" s="18"/>
      <c r="G7" s="18"/>
      <c r="I7"/>
    </row>
  </sheetData>
  <sheetProtection selectLockedCells="1" selectUnlockedCells="1"/>
  <mergeCells count="1">
    <mergeCell ref="C7:G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defaultGridColor="0" colorId="9" workbookViewId="0" topLeftCell="A1">
      <selection activeCell="B20" sqref="B20"/>
    </sheetView>
  </sheetViews>
  <sheetFormatPr defaultColWidth="12.57421875" defaultRowHeight="12.75"/>
  <cols>
    <col min="1" max="1" width="23.7109375" style="19" customWidth="1"/>
    <col min="2" max="2" width="11.57421875" style="20" customWidth="1"/>
    <col min="3" max="3" width="49.7109375" style="0" customWidth="1"/>
    <col min="4" max="4" width="7.28125" style="0" customWidth="1"/>
    <col min="5" max="16384" width="11.57421875" style="0" customWidth="1"/>
  </cols>
  <sheetData>
    <row r="1" spans="1:2" ht="12.75">
      <c r="A1" s="21" t="s">
        <v>13</v>
      </c>
      <c r="B1" s="22">
        <v>0.75</v>
      </c>
    </row>
    <row r="2" spans="1:2" ht="12.75">
      <c r="A2" s="21" t="s">
        <v>14</v>
      </c>
      <c r="B2" s="22">
        <v>1.2</v>
      </c>
    </row>
    <row r="3" spans="1:2" ht="12.75">
      <c r="A3" s="23" t="s">
        <v>15</v>
      </c>
      <c r="B3" s="24">
        <f>B1*Feuille1!C3</f>
        <v>120</v>
      </c>
    </row>
    <row r="4" spans="1:2" ht="12.75">
      <c r="A4" s="23" t="s">
        <v>16</v>
      </c>
      <c r="B4" s="25">
        <f>B2/(12^5*1000000000)</f>
        <v>4.822530864197531E-15</v>
      </c>
    </row>
    <row r="5" spans="1:2" ht="12.75">
      <c r="A5" s="23" t="s">
        <v>17</v>
      </c>
      <c r="B5" s="24">
        <f>Feuille1!E3*B20</f>
        <v>78</v>
      </c>
    </row>
    <row r="6" spans="1:2" ht="12.75">
      <c r="A6" s="23" t="s">
        <v>18</v>
      </c>
      <c r="B6" s="26">
        <f>1/SQRT(POWER(0.001524,3)/B4)/SQRT(B3/B5/B5/B5)</f>
        <v>0.07340258226001471</v>
      </c>
    </row>
    <row r="7" spans="1:2" ht="12.75">
      <c r="A7" s="23" t="s">
        <v>10</v>
      </c>
      <c r="B7" s="24">
        <f>Feuille1!G3*3.6</f>
        <v>10.8</v>
      </c>
    </row>
    <row r="8" spans="1:2" ht="12.75">
      <c r="A8" s="23" t="s">
        <v>9</v>
      </c>
      <c r="B8" s="24">
        <f>Feuille1!C3/B7</f>
        <v>14.814814814814813</v>
      </c>
    </row>
    <row r="9" spans="1:2" ht="12.75">
      <c r="A9" s="27" t="s">
        <v>19</v>
      </c>
      <c r="B9" s="28">
        <f>Feuille1!C4</f>
        <v>6</v>
      </c>
    </row>
    <row r="10" spans="1:2" ht="12.75">
      <c r="A10" s="27" t="s">
        <v>4</v>
      </c>
      <c r="B10" s="28">
        <f>Feuille1!E4</f>
        <v>2.6</v>
      </c>
    </row>
    <row r="11" spans="1:2" ht="12.75">
      <c r="A11" s="23" t="s">
        <v>20</v>
      </c>
      <c r="B11" s="25">
        <f>B3/B4/B10/B9/B9/B9/B9</f>
        <v>7384615384615.384</v>
      </c>
    </row>
    <row r="12" spans="1:2" ht="12.75">
      <c r="A12" s="23" t="s">
        <v>21</v>
      </c>
      <c r="B12" s="24">
        <f>POWER(B11,(1/3))</f>
        <v>19473.437763348753</v>
      </c>
    </row>
    <row r="13" spans="1:2" ht="12.75">
      <c r="A13" s="23" t="s">
        <v>22</v>
      </c>
      <c r="B13" s="24">
        <f>B10*B12*0.001524</f>
        <v>77.1615497934931</v>
      </c>
    </row>
    <row r="14" spans="1:2" ht="12.75">
      <c r="A14" s="23" t="s">
        <v>23</v>
      </c>
      <c r="B14" s="24">
        <f>B13/B20</f>
        <v>64.30129149457758</v>
      </c>
    </row>
    <row r="15" spans="1:2" ht="12.75">
      <c r="A15" s="23" t="s">
        <v>7</v>
      </c>
      <c r="B15" s="24">
        <f>430*B3/B14</f>
        <v>802.4722179079613</v>
      </c>
    </row>
    <row r="16" spans="1:2" ht="12.75">
      <c r="A16" s="23" t="s">
        <v>24</v>
      </c>
      <c r="B16" s="24">
        <f>B12/B7/0.75</f>
        <v>2404.1281189319448</v>
      </c>
    </row>
    <row r="17" spans="1:2" ht="12.75">
      <c r="A17" s="23" t="s">
        <v>25</v>
      </c>
      <c r="B17" s="24">
        <f>B12/B7/0.87</f>
        <v>2072.524240458573</v>
      </c>
    </row>
    <row r="18" spans="1:2" ht="12.75">
      <c r="A18" s="23" t="s">
        <v>26</v>
      </c>
      <c r="B18" s="24">
        <f>B12/B7/0.8</f>
        <v>2253.870111498698</v>
      </c>
    </row>
    <row r="19" spans="1:2" ht="12.75">
      <c r="A19" s="23" t="s">
        <v>27</v>
      </c>
      <c r="B19" s="24">
        <f>3360*Feuille1!C3/B12</f>
        <v>27.60683586191571</v>
      </c>
    </row>
    <row r="20" spans="1:2" ht="12.75">
      <c r="A20" s="19" t="s">
        <v>28</v>
      </c>
      <c r="B20" s="20">
        <v>1.2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defaultGridColor="0" colorId="9" workbookViewId="0" topLeftCell="A1">
      <selection activeCell="I12" sqref="I12"/>
    </sheetView>
  </sheetViews>
  <sheetFormatPr defaultColWidth="12.57421875" defaultRowHeight="12.75"/>
  <cols>
    <col min="1" max="1" width="11.57421875" style="20" customWidth="1"/>
    <col min="2" max="2" width="12.421875" style="20" customWidth="1"/>
    <col min="3" max="7" width="11.57421875" style="20" customWidth="1"/>
    <col min="8" max="8" width="15.140625" style="20" customWidth="1"/>
    <col min="9" max="9" width="14.28125" style="20" customWidth="1"/>
    <col min="10" max="10" width="15.28125" style="20" customWidth="1"/>
    <col min="11" max="11" width="18.140625" style="20" customWidth="1"/>
    <col min="12" max="16" width="11.57421875" style="20" customWidth="1"/>
    <col min="17" max="16384" width="11.57421875" style="0" customWidth="1"/>
  </cols>
  <sheetData>
    <row r="1" spans="1:16" s="19" customFormat="1" ht="12.75">
      <c r="A1" s="29" t="s">
        <v>29</v>
      </c>
      <c r="B1" s="29" t="s">
        <v>30</v>
      </c>
      <c r="C1" s="29" t="s">
        <v>21</v>
      </c>
      <c r="D1" s="29" t="s">
        <v>31</v>
      </c>
      <c r="E1" s="29" t="s">
        <v>32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/>
      <c r="M1" s="29"/>
      <c r="N1" s="29"/>
      <c r="O1" s="29"/>
      <c r="P1" s="29"/>
    </row>
    <row r="2" spans="1:11" ht="12.75">
      <c r="A2" s="20">
        <v>4</v>
      </c>
      <c r="B2" s="20">
        <f>A2*A2*Calcul!B$6</f>
        <v>1.1744413161602354</v>
      </c>
      <c r="C2" s="30">
        <f>Calcul!B$13/0.001524/B2</f>
        <v>43110.658223640785</v>
      </c>
      <c r="D2" s="30">
        <f>C2/Calcul!B$7/0.87</f>
        <v>4588.1926589656005</v>
      </c>
      <c r="E2" s="30">
        <f>C2/Calcul!B$7/0.75</f>
        <v>5322.303484400097</v>
      </c>
      <c r="F2" s="20">
        <f>B2/A2</f>
        <v>0.29361032904005885</v>
      </c>
      <c r="G2" s="30">
        <f>C2*A2</f>
        <v>172442.63289456314</v>
      </c>
      <c r="H2" s="20">
        <f>IF(F2&gt;0.3,1,0)</f>
        <v>0</v>
      </c>
      <c r="I2" s="20">
        <f>IF(F2&lt;1.45,1,0)</f>
        <v>1</v>
      </c>
      <c r="J2" s="20">
        <f>IF(G2&lt;195000,1,0)</f>
        <v>1</v>
      </c>
      <c r="K2" s="20">
        <f>H2*I2*J2</f>
        <v>0</v>
      </c>
    </row>
    <row r="3" spans="1:11" ht="12.75">
      <c r="A3" s="20">
        <v>5</v>
      </c>
      <c r="B3" s="20">
        <f>A3*A3*Calcul!B$6</f>
        <v>1.8350645565003678</v>
      </c>
      <c r="C3" s="30">
        <f>Calcul!B$13/0.001524/B3</f>
        <v>27590.8212631301</v>
      </c>
      <c r="D3" s="30">
        <f>C3/Calcul!B$7/0.87</f>
        <v>2936.443301737984</v>
      </c>
      <c r="E3" s="30">
        <f>C3/Calcul!B$7/0.75</f>
        <v>3406.274230016061</v>
      </c>
      <c r="F3" s="20">
        <f>B3/A3</f>
        <v>0.3670129113000736</v>
      </c>
      <c r="G3" s="30">
        <f>C3*A3</f>
        <v>137954.1063156505</v>
      </c>
      <c r="H3" s="20">
        <f>IF(F3&gt;0.3,1,0)</f>
        <v>1</v>
      </c>
      <c r="I3" s="20">
        <f>IF(F3&lt;1.45,1,0)</f>
        <v>1</v>
      </c>
      <c r="J3" s="20">
        <f>IF(G3&lt;195000,1,0)</f>
        <v>1</v>
      </c>
      <c r="K3" s="20">
        <f>H3*I3*J3</f>
        <v>1</v>
      </c>
    </row>
    <row r="4" spans="1:11" ht="12.75">
      <c r="A4" s="20">
        <v>6</v>
      </c>
      <c r="B4" s="20">
        <f>A4*A4*Calcul!B$6</f>
        <v>2.6424929613605297</v>
      </c>
      <c r="C4" s="30">
        <f>Calcul!B$13/0.001524/B4</f>
        <v>19160.292543840347</v>
      </c>
      <c r="D4" s="30">
        <f>C4/Calcul!B$7/0.87</f>
        <v>2039.1967373180444</v>
      </c>
      <c r="E4" s="30">
        <f>C4/Calcul!B$7/0.75</f>
        <v>2365.4682152889313</v>
      </c>
      <c r="F4" s="20">
        <f>B4/A4</f>
        <v>0.4404154935600883</v>
      </c>
      <c r="G4" s="30">
        <f>C4*A4</f>
        <v>114961.75526304208</v>
      </c>
      <c r="H4" s="20">
        <f>IF(F4&gt;0.3,1,0)</f>
        <v>1</v>
      </c>
      <c r="I4" s="20">
        <f>IF(F4&lt;1.45,1,0)</f>
        <v>1</v>
      </c>
      <c r="J4" s="20">
        <f>IF(G4&lt;195000,1,0)</f>
        <v>1</v>
      </c>
      <c r="K4" s="20">
        <f>H4*I4*J4</f>
        <v>1</v>
      </c>
    </row>
    <row r="5" spans="1:11" ht="12.75">
      <c r="A5" s="20">
        <v>7</v>
      </c>
      <c r="B5" s="20">
        <f>A5*A5*Calcul!B$6</f>
        <v>3.596726530740721</v>
      </c>
      <c r="C5" s="30">
        <f>Calcul!B$13/0.001524/B5</f>
        <v>14076.949624045968</v>
      </c>
      <c r="D5" s="30">
        <f>C5/Calcul!B$7/0.87</f>
        <v>1498.1853580295835</v>
      </c>
      <c r="E5" s="30">
        <f>C5/Calcul!B$7/0.75</f>
        <v>1737.8950153143169</v>
      </c>
      <c r="F5" s="20">
        <f>B5/A5</f>
        <v>0.513818075820103</v>
      </c>
      <c r="G5" s="30">
        <f>C5*A5</f>
        <v>98538.64736832178</v>
      </c>
      <c r="H5" s="20">
        <f>IF(F5&gt;0.3,1,0)</f>
        <v>1</v>
      </c>
      <c r="I5" s="20">
        <f>IF(F5&lt;1.45,1,0)</f>
        <v>1</v>
      </c>
      <c r="J5" s="20">
        <f>IF(G5&lt;195000,1,0)</f>
        <v>1</v>
      </c>
      <c r="K5" s="20">
        <f>H5*I5*J5</f>
        <v>1</v>
      </c>
    </row>
    <row r="6" spans="1:11" ht="12.75">
      <c r="A6" s="20">
        <v>8</v>
      </c>
      <c r="B6" s="20">
        <f>A6*A6*Calcul!B$6</f>
        <v>4.697765264640942</v>
      </c>
      <c r="C6" s="30">
        <f>Calcul!B$13/0.001524/B6</f>
        <v>10777.664555910196</v>
      </c>
      <c r="D6" s="30">
        <f>C6/Calcul!B$7/0.87</f>
        <v>1147.0481647414001</v>
      </c>
      <c r="E6" s="30">
        <f>C6/Calcul!B$7/0.75</f>
        <v>1330.5758711000242</v>
      </c>
      <c r="F6" s="20">
        <f>B6/A6</f>
        <v>0.5872206580801177</v>
      </c>
      <c r="G6" s="30">
        <f>C6*A6</f>
        <v>86221.31644728157</v>
      </c>
      <c r="H6" s="20">
        <f>IF(F6&gt;0.3,1,0)</f>
        <v>1</v>
      </c>
      <c r="I6" s="20">
        <f>IF(F6&lt;1.45,1,0)</f>
        <v>1</v>
      </c>
      <c r="J6" s="20">
        <f>IF(G6&lt;195000,1,0)</f>
        <v>1</v>
      </c>
      <c r="K6" s="20">
        <f>H6*I6*J6</f>
        <v>1</v>
      </c>
    </row>
    <row r="7" spans="1:11" ht="12.75">
      <c r="A7" s="20">
        <v>9</v>
      </c>
      <c r="B7" s="20">
        <f>A7*A7*Calcul!B$6</f>
        <v>5.945609163061191</v>
      </c>
      <c r="C7" s="30">
        <f>Calcul!B$13/0.001524/B7</f>
        <v>8515.685575040156</v>
      </c>
      <c r="D7" s="30">
        <f>C7/Calcul!B$7/0.87</f>
        <v>906.3096610302421</v>
      </c>
      <c r="E7" s="30">
        <f>C7/Calcul!B$7/0.75</f>
        <v>1051.3192067950808</v>
      </c>
      <c r="F7" s="20">
        <f>B7/A7</f>
        <v>0.6606232403401324</v>
      </c>
      <c r="G7" s="30">
        <f>C7*A7</f>
        <v>76641.1701753614</v>
      </c>
      <c r="H7" s="20">
        <f>IF(F7&gt;0.3,1,0)</f>
        <v>1</v>
      </c>
      <c r="I7" s="20">
        <f>IF(F7&lt;1.45,1,0)</f>
        <v>1</v>
      </c>
      <c r="J7" s="20">
        <f>IF(G7&lt;195000,1,0)</f>
        <v>1</v>
      </c>
      <c r="K7" s="20">
        <f>H7*I7*J7</f>
        <v>1</v>
      </c>
    </row>
    <row r="8" spans="1:11" ht="12.75">
      <c r="A8" s="20">
        <v>10</v>
      </c>
      <c r="B8" s="20">
        <f>A8*A8*Calcul!B$6</f>
        <v>7.340258226001471</v>
      </c>
      <c r="C8" s="30">
        <f>Calcul!B$13/0.001524/B8</f>
        <v>6897.705315782525</v>
      </c>
      <c r="D8" s="30">
        <f>C8/Calcul!B$7/0.87</f>
        <v>734.110825434496</v>
      </c>
      <c r="E8" s="30">
        <f>C8/Calcul!B$7/0.75</f>
        <v>851.5685575040153</v>
      </c>
      <c r="F8" s="20">
        <f>B8/A8</f>
        <v>0.7340258226001471</v>
      </c>
      <c r="G8" s="30">
        <f>C8*A8</f>
        <v>68977.05315782526</v>
      </c>
      <c r="H8" s="20">
        <f>IF(F8&gt;0.3,1,0)</f>
        <v>1</v>
      </c>
      <c r="I8" s="20">
        <f>IF(F8&lt;1.45,1,0)</f>
        <v>1</v>
      </c>
      <c r="J8" s="20">
        <f>IF(G8&lt;195000,1,0)</f>
        <v>1</v>
      </c>
      <c r="K8" s="20">
        <f>H8*I8*J8</f>
        <v>1</v>
      </c>
    </row>
    <row r="9" spans="1:11" ht="12.75">
      <c r="A9" s="20">
        <v>11</v>
      </c>
      <c r="B9" s="20">
        <f>A9*A9*Calcul!B$6</f>
        <v>8.88171245346178</v>
      </c>
      <c r="C9" s="30">
        <f>Calcul!B$13/0.001524/B9</f>
        <v>5700.582905605393</v>
      </c>
      <c r="D9" s="30">
        <f>C9/Calcul!B$7/0.87</f>
        <v>606.7031615161123</v>
      </c>
      <c r="E9" s="30">
        <f>C9/Calcul!B$7/0.75</f>
        <v>703.7756673586904</v>
      </c>
      <c r="F9" s="20">
        <f>B9/A9</f>
        <v>0.8074284048601619</v>
      </c>
      <c r="G9" s="30">
        <f>C9*A9</f>
        <v>62706.411961659316</v>
      </c>
      <c r="H9" s="20">
        <f>IF(F9&gt;0.3,1,0)</f>
        <v>1</v>
      </c>
      <c r="I9" s="20">
        <f>IF(F9&lt;1.45,1,0)</f>
        <v>1</v>
      </c>
      <c r="J9" s="20">
        <f>IF(G9&lt;195000,1,0)</f>
        <v>1</v>
      </c>
      <c r="K9" s="20">
        <f>H9*I9*J9</f>
        <v>1</v>
      </c>
    </row>
    <row r="10" spans="1:11" ht="12.75">
      <c r="A10" s="20">
        <v>12</v>
      </c>
      <c r="B10" s="20">
        <f>A10*A10*Calcul!B$6</f>
        <v>10.569971845442119</v>
      </c>
      <c r="C10" s="30">
        <f>Calcul!B$13/0.001524/B10</f>
        <v>4790.073135960087</v>
      </c>
      <c r="D10" s="30">
        <f>C10/Calcul!B$7/0.87</f>
        <v>509.7991843295111</v>
      </c>
      <c r="E10" s="30">
        <f>C10/Calcul!B$7/0.75</f>
        <v>591.3670538222328</v>
      </c>
      <c r="F10" s="20">
        <f>B10/A10</f>
        <v>0.8808309871201766</v>
      </c>
      <c r="G10" s="30">
        <f>C10*A10</f>
        <v>57480.87763152104</v>
      </c>
      <c r="H10" s="20">
        <f>IF(F10&gt;0.3,1,0)</f>
        <v>1</v>
      </c>
      <c r="I10" s="20">
        <f>IF(F10&lt;1.45,1,0)</f>
        <v>1</v>
      </c>
      <c r="J10" s="20">
        <f>IF(G10&lt;195000,1,0)</f>
        <v>1</v>
      </c>
      <c r="K10" s="20">
        <f>H10*I10*J10</f>
        <v>1</v>
      </c>
    </row>
    <row r="11" spans="1:11" ht="12.75">
      <c r="A11" s="20">
        <v>13</v>
      </c>
      <c r="B11" s="20">
        <f>A11*A11*Calcul!B$6</f>
        <v>12.405036401942485</v>
      </c>
      <c r="C11" s="30">
        <f>Calcul!B$13/0.001524/B11</f>
        <v>4081.4824353742756</v>
      </c>
      <c r="D11" s="30">
        <f>C11/Calcul!B$7/0.87</f>
        <v>434.38510380739416</v>
      </c>
      <c r="E11" s="30">
        <f>C11/Calcul!B$7/0.75</f>
        <v>503.8867204165772</v>
      </c>
      <c r="F11" s="20">
        <f>B11/A11</f>
        <v>0.9542335693801912</v>
      </c>
      <c r="G11" s="30">
        <f>C11*A11</f>
        <v>53059.27165986558</v>
      </c>
      <c r="H11" s="20">
        <f>IF(F11&gt;0.3,1,0)</f>
        <v>1</v>
      </c>
      <c r="I11" s="20">
        <f>IF(F11&lt;1.45,1,0)</f>
        <v>1</v>
      </c>
      <c r="J11" s="20">
        <f>IF(G11&lt;195000,1,0)</f>
        <v>1</v>
      </c>
      <c r="K11" s="20">
        <f>H11*I11*J11</f>
        <v>1</v>
      </c>
    </row>
    <row r="12" spans="1:11" ht="12.75">
      <c r="A12" s="20">
        <v>14</v>
      </c>
      <c r="B12" s="20">
        <f>A12*A12*Calcul!B$6</f>
        <v>14.386906122962884</v>
      </c>
      <c r="C12" s="30">
        <f>Calcul!B$13/0.001524/B12</f>
        <v>3519.237406011492</v>
      </c>
      <c r="D12" s="30">
        <f>C12/Calcul!B$7/0.87</f>
        <v>374.5463395073959</v>
      </c>
      <c r="E12" s="30">
        <f>C12/Calcul!B$7/0.75</f>
        <v>434.4737538285792</v>
      </c>
      <c r="F12" s="20">
        <f>B12/A12</f>
        <v>1.027636151640206</v>
      </c>
      <c r="G12" s="30">
        <f>C12*A12</f>
        <v>49269.32368416089</v>
      </c>
      <c r="H12" s="20">
        <f>IF(F12&gt;0.3,1,0)</f>
        <v>1</v>
      </c>
      <c r="I12" s="20">
        <f>IF(F12&lt;1.45,1,0)</f>
        <v>1</v>
      </c>
      <c r="J12" s="20">
        <f>IF(G12&lt;195000,1,0)</f>
        <v>1</v>
      </c>
      <c r="K12" s="20">
        <f>H12*I12*J12</f>
        <v>1</v>
      </c>
    </row>
    <row r="13" spans="1:11" ht="12.75">
      <c r="A13" s="20">
        <v>15</v>
      </c>
      <c r="B13" s="20">
        <f>A13*A13*Calcul!B$6</f>
        <v>16.51558100850331</v>
      </c>
      <c r="C13" s="30">
        <f>Calcul!B$13/0.001524/B13</f>
        <v>3065.6468070144556</v>
      </c>
      <c r="D13" s="30">
        <f>C13/Calcul!B$7/0.87</f>
        <v>326.27147797088713</v>
      </c>
      <c r="E13" s="30">
        <f>C13/Calcul!B$7/0.75</f>
        <v>378.4749144462291</v>
      </c>
      <c r="F13" s="20">
        <f>B13/A13</f>
        <v>1.1010387339002208</v>
      </c>
      <c r="G13" s="30">
        <f>C13*A13</f>
        <v>45984.702105216835</v>
      </c>
      <c r="H13" s="20">
        <f>IF(F13&gt;0.3,1,0)</f>
        <v>1</v>
      </c>
      <c r="I13" s="20">
        <f>IF(F13&lt;1.45,1,0)</f>
        <v>1</v>
      </c>
      <c r="J13" s="20">
        <f>IF(G13&lt;195000,1,0)</f>
        <v>1</v>
      </c>
      <c r="K13" s="20">
        <f>H13*I13*J13</f>
        <v>1</v>
      </c>
    </row>
    <row r="14" spans="1:11" ht="12.75">
      <c r="A14" s="20">
        <v>16</v>
      </c>
      <c r="B14" s="20">
        <f>A14*A14*Calcul!B$6</f>
        <v>18.791061058563766</v>
      </c>
      <c r="C14" s="30">
        <f>Calcul!B$13/0.001524/B14</f>
        <v>2694.416138977549</v>
      </c>
      <c r="D14" s="30">
        <f>C14/Calcul!B$7/0.87</f>
        <v>286.76204118535003</v>
      </c>
      <c r="E14" s="30">
        <f>C14/Calcul!B$7/0.75</f>
        <v>332.64396777500605</v>
      </c>
      <c r="F14" s="20">
        <f>B14/A14</f>
        <v>1.1744413161602354</v>
      </c>
      <c r="G14" s="30">
        <f>C14*A14</f>
        <v>43110.658223640785</v>
      </c>
      <c r="H14" s="20">
        <f>IF(F14&gt;0.3,1,0)</f>
        <v>1</v>
      </c>
      <c r="I14" s="20">
        <f>IF(F14&lt;1.45,1,0)</f>
        <v>1</v>
      </c>
      <c r="J14" s="20">
        <f>IF(G14&lt;195000,1,0)</f>
        <v>1</v>
      </c>
      <c r="K14" s="20">
        <f>H14*I14*J14</f>
        <v>1</v>
      </c>
    </row>
    <row r="15" spans="1:11" ht="12.75">
      <c r="A15" s="20">
        <v>17</v>
      </c>
      <c r="B15" s="20">
        <f>A15*A15*Calcul!B$6</f>
        <v>21.213346273144253</v>
      </c>
      <c r="C15" s="30">
        <f>Calcul!B$13/0.001524/B15</f>
        <v>2386.7492442154066</v>
      </c>
      <c r="D15" s="30">
        <f>C15/Calcul!B$7/0.87</f>
        <v>254.01758665553496</v>
      </c>
      <c r="E15" s="30">
        <f>C15/Calcul!B$7/0.75</f>
        <v>294.6604005204205</v>
      </c>
      <c r="F15" s="20">
        <f>B15/A15</f>
        <v>1.2478438984202502</v>
      </c>
      <c r="G15" s="30">
        <f>C15*A15</f>
        <v>40574.73715166191</v>
      </c>
      <c r="H15" s="20">
        <f>IF(F15&gt;0.3,1,0)</f>
        <v>1</v>
      </c>
      <c r="I15" s="20">
        <f>IF(F15&lt;1.45,1,0)</f>
        <v>1</v>
      </c>
      <c r="J15" s="20">
        <f>IF(G15&lt;195000,1,0)</f>
        <v>1</v>
      </c>
      <c r="K15" s="20">
        <f>H15*I15*J15</f>
        <v>1</v>
      </c>
    </row>
    <row r="16" spans="1:11" ht="12.75">
      <c r="A16" s="20">
        <v>18</v>
      </c>
      <c r="B16" s="20">
        <f>A16*A16*Calcul!B$6</f>
        <v>23.782436652244765</v>
      </c>
      <c r="C16" s="30">
        <f>Calcul!B$13/0.001524/B16</f>
        <v>2128.921393760039</v>
      </c>
      <c r="D16" s="30">
        <f>C16/Calcul!B$7/0.87</f>
        <v>226.57741525756052</v>
      </c>
      <c r="E16" s="30">
        <f>C16/Calcul!B$7/0.75</f>
        <v>262.8298016987702</v>
      </c>
      <c r="F16" s="20">
        <f>B16/A16</f>
        <v>1.3212464806802648</v>
      </c>
      <c r="G16" s="30">
        <f>C16*A16</f>
        <v>38320.5850876807</v>
      </c>
      <c r="H16" s="20">
        <f>IF(F16&gt;0.3,1,0)</f>
        <v>1</v>
      </c>
      <c r="I16" s="20">
        <f>IF(F16&lt;1.45,1,0)</f>
        <v>1</v>
      </c>
      <c r="J16" s="20">
        <f>IF(G16&lt;195000,1,0)</f>
        <v>1</v>
      </c>
      <c r="K16" s="20">
        <f>H16*I16*J16</f>
        <v>1</v>
      </c>
    </row>
    <row r="17" spans="1:11" ht="12.75">
      <c r="A17" s="20">
        <v>19</v>
      </c>
      <c r="B17" s="20">
        <f>A17*A17*Calcul!B$6</f>
        <v>26.49833219586531</v>
      </c>
      <c r="C17" s="30">
        <f>Calcul!B$13/0.001524/B17</f>
        <v>1910.7216941225834</v>
      </c>
      <c r="D17" s="30">
        <f>C17/Calcul!B$7/0.87</f>
        <v>203.3547992893341</v>
      </c>
      <c r="E17" s="30">
        <f>C17/Calcul!B$7/0.75</f>
        <v>235.89156717562756</v>
      </c>
      <c r="F17" s="20">
        <f>B17/A17</f>
        <v>1.3946490629402795</v>
      </c>
      <c r="G17" s="30">
        <f>C17*A17</f>
        <v>36303.71218832908</v>
      </c>
      <c r="H17" s="20">
        <f>IF(F17&gt;0.3,1,0)</f>
        <v>1</v>
      </c>
      <c r="I17" s="20">
        <f>IF(F17&lt;1.45,1,0)</f>
        <v>1</v>
      </c>
      <c r="J17" s="20">
        <f>IF(G17&lt;195000,1,0)</f>
        <v>1</v>
      </c>
      <c r="K17" s="20">
        <f>H17*I17*J17</f>
        <v>1</v>
      </c>
    </row>
    <row r="18" spans="1:11" ht="12.75">
      <c r="A18" s="20">
        <v>20</v>
      </c>
      <c r="B18" s="20">
        <f>A18*A18*Calcul!B$6</f>
        <v>29.361032904005885</v>
      </c>
      <c r="C18" s="30">
        <f>Calcul!B$13/0.001524/B18</f>
        <v>1724.4263289456312</v>
      </c>
      <c r="D18" s="30">
        <f>C18/Calcul!B$7/0.87</f>
        <v>183.527706358624</v>
      </c>
      <c r="E18" s="30">
        <f>C18/Calcul!B$7/0.75</f>
        <v>212.89213937600383</v>
      </c>
      <c r="F18" s="20">
        <f>B18/A18</f>
        <v>1.4680516452002943</v>
      </c>
      <c r="G18" s="30">
        <f>C18*A18</f>
        <v>34488.52657891263</v>
      </c>
      <c r="H18" s="20">
        <f>IF(F18&gt;0.3,1,0)</f>
        <v>1</v>
      </c>
      <c r="I18" s="20">
        <f>IF(F18&lt;1.45,1,0)</f>
        <v>0</v>
      </c>
      <c r="J18" s="20">
        <f>IF(G18&lt;195000,1,0)</f>
        <v>1</v>
      </c>
      <c r="K18" s="20">
        <f>H18*I18*J18</f>
        <v>0</v>
      </c>
    </row>
    <row r="22" spans="2:5" ht="20.25" customHeight="1">
      <c r="B22" s="31" t="s">
        <v>39</v>
      </c>
      <c r="C22" s="31" t="s">
        <v>40</v>
      </c>
      <c r="D22" s="31" t="s">
        <v>41</v>
      </c>
      <c r="E22" s="32">
        <f>Calcul!B9*Calcul!B12/1000</f>
        <v>116.84062658009252</v>
      </c>
    </row>
    <row r="23" spans="2:9" ht="20.25" customHeight="1">
      <c r="B23" s="33" t="s">
        <v>42</v>
      </c>
      <c r="C23" s="34">
        <v>50</v>
      </c>
      <c r="D23" s="33" t="s">
        <v>43</v>
      </c>
      <c r="E23"/>
      <c r="F23"/>
      <c r="I23"/>
    </row>
    <row r="24" spans="2:9" ht="21" customHeight="1">
      <c r="B24" s="35" t="s">
        <v>44</v>
      </c>
      <c r="C24" s="36">
        <v>65</v>
      </c>
      <c r="D24" s="35" t="s">
        <v>45</v>
      </c>
      <c r="E24"/>
      <c r="F24"/>
      <c r="I24"/>
    </row>
    <row r="25" spans="2:5" ht="18" customHeight="1">
      <c r="B25" s="35" t="s">
        <v>46</v>
      </c>
      <c r="C25" s="36">
        <v>65</v>
      </c>
      <c r="D25" s="35" t="s">
        <v>43</v>
      </c>
      <c r="E25"/>
    </row>
    <row r="26" spans="2:11" ht="19.5" customHeight="1">
      <c r="B26" s="37" t="s">
        <v>47</v>
      </c>
      <c r="C26" s="38">
        <v>100</v>
      </c>
      <c r="D26" s="37" t="s">
        <v>43</v>
      </c>
      <c r="E26"/>
      <c r="G26" s="39" t="s">
        <v>48</v>
      </c>
      <c r="H26" s="39"/>
      <c r="I26" s="39"/>
      <c r="J26" s="39"/>
      <c r="K26" s="39"/>
    </row>
    <row r="27" spans="2:10" ht="18.75" customHeight="1">
      <c r="B27" s="40" t="s">
        <v>49</v>
      </c>
      <c r="C27" s="41">
        <v>145</v>
      </c>
      <c r="D27" s="40" t="s">
        <v>45</v>
      </c>
      <c r="E27"/>
      <c r="G27" s="39" t="s">
        <v>50</v>
      </c>
      <c r="H27" s="39"/>
      <c r="I27" s="39"/>
      <c r="J27" s="39"/>
    </row>
    <row r="28" spans="2:12" ht="18" customHeight="1">
      <c r="B28" s="40" t="s">
        <v>51</v>
      </c>
      <c r="C28" s="41">
        <v>145</v>
      </c>
      <c r="D28" s="40" t="s">
        <v>45</v>
      </c>
      <c r="E28"/>
      <c r="G28" s="39" t="s">
        <v>52</v>
      </c>
      <c r="H28" s="39"/>
      <c r="I28" s="39"/>
      <c r="J28" s="39"/>
      <c r="K28" s="39"/>
      <c r="L28" s="39"/>
    </row>
    <row r="29" spans="2:7" ht="17.25" customHeight="1">
      <c r="B29" s="42" t="s">
        <v>53</v>
      </c>
      <c r="C29" s="43">
        <v>190</v>
      </c>
      <c r="D29" s="42" t="s">
        <v>45</v>
      </c>
      <c r="E29"/>
      <c r="G29" s="39" t="s">
        <v>54</v>
      </c>
    </row>
    <row r="30" spans="2:7" ht="16.5" customHeight="1">
      <c r="B30" s="42" t="s">
        <v>55</v>
      </c>
      <c r="C30" s="43">
        <v>190</v>
      </c>
      <c r="D30" s="42" t="s">
        <v>45</v>
      </c>
      <c r="E30"/>
      <c r="G30" s="39" t="s">
        <v>56</v>
      </c>
    </row>
    <row r="32" spans="7:13" ht="12.75">
      <c r="G32" s="44" t="str">
        <f>IF(E22&lt;50,G30,IF(E22&lt;65,G29,IF(E22&lt;100,G28,IF(E22&lt;145,G27,G26))))</f>
        <v>APC : SPORT , SPEED-400 , THIN ELECTRIC , FOLDING</v>
      </c>
      <c r="H32" s="44"/>
      <c r="I32" s="44"/>
      <c r="J32" s="44"/>
      <c r="K32" s="44"/>
      <c r="L32" s="44"/>
      <c r="M32" s="44"/>
    </row>
    <row r="35" spans="7:9" ht="12.75">
      <c r="G35" s="39"/>
      <c r="H35" s="39"/>
      <c r="I35" s="39"/>
    </row>
    <row r="36" spans="7:9" ht="12.75">
      <c r="G36" s="44"/>
      <c r="H36" s="44"/>
      <c r="I36" s="44"/>
    </row>
  </sheetData>
  <sheetProtection selectLockedCells="1" selectUnlockedCells="1"/>
  <mergeCells count="5">
    <mergeCell ref="G26:K26"/>
    <mergeCell ref="G27:J27"/>
    <mergeCell ref="G28:L28"/>
    <mergeCell ref="G32:M32"/>
    <mergeCell ref="G36:I3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defaultGridColor="0" colorId="9" workbookViewId="0" topLeftCell="A1">
      <selection activeCell="A16" sqref="A16"/>
    </sheetView>
  </sheetViews>
  <sheetFormatPr defaultColWidth="12.57421875" defaultRowHeight="12.75"/>
  <cols>
    <col min="1" max="1" width="6.421875" style="20" customWidth="1"/>
    <col min="2" max="2" width="7.421875" style="20" customWidth="1"/>
    <col min="3" max="4" width="8.140625" style="30" customWidth="1"/>
    <col min="5" max="5" width="11.57421875" style="30" customWidth="1"/>
    <col min="6" max="16384" width="11.57421875" style="0" customWidth="1"/>
  </cols>
  <sheetData>
    <row r="1" spans="1:5" ht="12.75">
      <c r="A1" s="29" t="s">
        <v>57</v>
      </c>
      <c r="B1" s="29" t="s">
        <v>58</v>
      </c>
      <c r="C1" s="45" t="s">
        <v>21</v>
      </c>
      <c r="D1" s="45" t="s">
        <v>31</v>
      </c>
      <c r="E1" s="45" t="s">
        <v>32</v>
      </c>
    </row>
    <row r="2" spans="1:5" ht="12.75">
      <c r="A2" s="20">
        <f>IF(table1!K2=1,table1!A2,"")</f>
      </c>
      <c r="B2" s="20">
        <f>IF(table1!K2=1,table1!B2,"")</f>
      </c>
      <c r="C2" s="30">
        <f>IF(table1!K2=1,table1!C2,"")</f>
      </c>
      <c r="D2" s="30">
        <f>IF(table1!K2=1,table1!D2,"")</f>
      </c>
      <c r="E2" s="30">
        <f>IF(table1!K2=1,table1!E2,"")</f>
      </c>
    </row>
    <row r="3" spans="1:5" ht="12.75">
      <c r="A3" s="20">
        <f>IF(table1!K3=1,table1!A3,"")</f>
        <v>5</v>
      </c>
      <c r="B3" s="20">
        <f>IF(table1!K3=1,table1!B3,"")</f>
        <v>1.8350645565003678</v>
      </c>
      <c r="C3" s="30">
        <f>IF(table1!K3=1,table1!C3,"")</f>
        <v>27590.8212631301</v>
      </c>
      <c r="D3" s="30">
        <f>IF(table1!K3=1,table1!D3,"")</f>
        <v>2936.443301737984</v>
      </c>
      <c r="E3" s="30">
        <f>IF(table1!K3=1,table1!E3,"")</f>
        <v>3406.274230016061</v>
      </c>
    </row>
    <row r="4" spans="1:5" ht="12.75">
      <c r="A4" s="20">
        <f>IF(table1!K4=1,table1!A4,"")</f>
        <v>6</v>
      </c>
      <c r="B4" s="20">
        <f>IF(table1!K4=1,table1!B4,"")</f>
        <v>2.6424929613605297</v>
      </c>
      <c r="C4" s="30">
        <f>IF(table1!K4=1,table1!C4,"")</f>
        <v>19160.292543840347</v>
      </c>
      <c r="D4" s="30">
        <f>IF(table1!K4=1,table1!D4,"")</f>
        <v>2039.1967373180444</v>
      </c>
      <c r="E4" s="30">
        <f>IF(table1!K4=1,table1!E4,"")</f>
        <v>2365.4682152889313</v>
      </c>
    </row>
    <row r="5" spans="1:5" ht="12.75">
      <c r="A5" s="20">
        <f>IF(table1!K5=1,table1!A5,"")</f>
        <v>7</v>
      </c>
      <c r="B5" s="20">
        <f>IF(table1!K5=1,table1!B5,"")</f>
        <v>3.596726530740721</v>
      </c>
      <c r="C5" s="30">
        <f>IF(table1!K5=1,table1!C5,"")</f>
        <v>14076.949624045968</v>
      </c>
      <c r="D5" s="30">
        <f>IF(table1!K5=1,table1!D5,"")</f>
        <v>1498.1853580295835</v>
      </c>
      <c r="E5" s="30">
        <f>IF(table1!K5=1,table1!E5,"")</f>
        <v>1737.8950153143169</v>
      </c>
    </row>
    <row r="6" spans="1:5" ht="12.75">
      <c r="A6" s="20">
        <f>IF(table1!K6=1,table1!A6,"")</f>
        <v>8</v>
      </c>
      <c r="B6" s="20">
        <f>IF(table1!K6=1,table1!B6,"")</f>
        <v>4.697765264640942</v>
      </c>
      <c r="C6" s="30">
        <f>IF(table1!K6=1,table1!C6,"")</f>
        <v>10777.664555910196</v>
      </c>
      <c r="D6" s="30">
        <f>IF(table1!K6=1,table1!D6,"")</f>
        <v>1147.0481647414001</v>
      </c>
      <c r="E6" s="30">
        <f>IF(table1!K6=1,table1!E6,"")</f>
        <v>1330.5758711000242</v>
      </c>
    </row>
    <row r="7" spans="1:5" ht="12.75">
      <c r="A7" s="20">
        <f>IF(table1!K7=1,table1!A7,"")</f>
        <v>9</v>
      </c>
      <c r="B7" s="20">
        <f>IF(table1!K7=1,table1!B7,"")</f>
        <v>5.945609163061191</v>
      </c>
      <c r="C7" s="30">
        <f>IF(table1!K7=1,table1!C7,"")</f>
        <v>8515.685575040156</v>
      </c>
      <c r="D7" s="30">
        <f>IF(table1!K7=1,table1!D7,"")</f>
        <v>906.3096610302421</v>
      </c>
      <c r="E7" s="30">
        <f>IF(table1!K7=1,table1!E7,"")</f>
        <v>1051.3192067950808</v>
      </c>
    </row>
    <row r="8" spans="1:5" ht="12.75">
      <c r="A8" s="20">
        <f>IF(table1!K8=1,table1!A8,"")</f>
        <v>10</v>
      </c>
      <c r="B8" s="20">
        <f>IF(table1!K8=1,table1!B8,"")</f>
        <v>7.340258226001471</v>
      </c>
      <c r="C8" s="30">
        <f>IF(table1!K8=1,table1!C8,"")</f>
        <v>6897.705315782525</v>
      </c>
      <c r="D8" s="30">
        <f>IF(table1!K8=1,table1!D8,"")</f>
        <v>734.110825434496</v>
      </c>
      <c r="E8" s="30">
        <f>IF(table1!K8=1,table1!E8,"")</f>
        <v>851.5685575040153</v>
      </c>
    </row>
    <row r="9" spans="1:5" ht="12.75">
      <c r="A9" s="20">
        <f>IF(table1!K9=1,table1!A9,"")</f>
        <v>11</v>
      </c>
      <c r="B9" s="20">
        <f>IF(table1!K9=1,table1!B9,"")</f>
        <v>8.88171245346178</v>
      </c>
      <c r="C9" s="30">
        <f>IF(table1!K9=1,table1!C9,"")</f>
        <v>5700.582905605393</v>
      </c>
      <c r="D9" s="30">
        <f>IF(table1!K9=1,table1!D9,"")</f>
        <v>606.7031615161123</v>
      </c>
      <c r="E9" s="30">
        <f>IF(table1!K9=1,table1!E9,"")</f>
        <v>703.7756673586904</v>
      </c>
    </row>
    <row r="10" spans="1:5" ht="12.75">
      <c r="A10" s="20">
        <f>IF(table1!K10=1,table1!A10,"")</f>
        <v>12</v>
      </c>
      <c r="B10" s="20">
        <f>IF(table1!K10=1,table1!B10,"")</f>
        <v>10.569971845442119</v>
      </c>
      <c r="C10" s="30">
        <f>IF(table1!K10=1,table1!C10,"")</f>
        <v>4790.073135960087</v>
      </c>
      <c r="D10" s="30">
        <f>IF(table1!K10=1,table1!D10,"")</f>
        <v>509.7991843295111</v>
      </c>
      <c r="E10" s="30">
        <f>IF(table1!K10=1,table1!E10,"")</f>
        <v>591.3670538222328</v>
      </c>
    </row>
    <row r="11" spans="1:5" ht="12.75">
      <c r="A11" s="20">
        <f>IF(table1!K11=1,table1!A11,"")</f>
        <v>13</v>
      </c>
      <c r="B11" s="20">
        <f>IF(table1!K11=1,table1!B11,"")</f>
        <v>12.405036401942485</v>
      </c>
      <c r="C11" s="30">
        <f>IF(table1!K11=1,table1!C11,"")</f>
        <v>4081.4824353742756</v>
      </c>
      <c r="D11" s="30">
        <f>IF(table1!K11=1,table1!D11,"")</f>
        <v>434.38510380739416</v>
      </c>
      <c r="E11" s="30">
        <f>IF(table1!K11=1,table1!E11,"")</f>
        <v>503.8867204165772</v>
      </c>
    </row>
    <row r="12" spans="1:5" ht="12.75">
      <c r="A12" s="20">
        <f>IF(table1!K12=1,table1!A12,"")</f>
        <v>14</v>
      </c>
      <c r="B12" s="20">
        <f>IF(table1!K12=1,table1!B12,"")</f>
        <v>14.386906122962884</v>
      </c>
      <c r="C12" s="30">
        <f>IF(table1!K12=1,table1!C12,"")</f>
        <v>3519.237406011492</v>
      </c>
      <c r="D12" s="30">
        <f>IF(table1!K12=1,table1!D12,"")</f>
        <v>374.5463395073959</v>
      </c>
      <c r="E12" s="30">
        <f>IF(table1!K12=1,table1!E12,"")</f>
        <v>434.4737538285792</v>
      </c>
    </row>
    <row r="13" spans="1:5" ht="12.75">
      <c r="A13" s="20">
        <f>IF(table1!K13=1,table1!A13,"")</f>
        <v>15</v>
      </c>
      <c r="B13" s="20">
        <f>IF(table1!K13=1,table1!B13,"")</f>
        <v>16.51558100850331</v>
      </c>
      <c r="C13" s="30">
        <f>IF(table1!K13=1,table1!C13,"")</f>
        <v>3065.6468070144556</v>
      </c>
      <c r="D13" s="30">
        <f>IF(table1!K13=1,table1!D13,"")</f>
        <v>326.27147797088713</v>
      </c>
      <c r="E13" s="30">
        <f>IF(table1!K13=1,table1!E13,"")</f>
        <v>378.4749144462291</v>
      </c>
    </row>
    <row r="14" spans="1:5" ht="12.75">
      <c r="A14" s="20">
        <f>IF(table1!K14=1,table1!A14,"")</f>
        <v>16</v>
      </c>
      <c r="B14" s="20">
        <f>IF(table1!K14=1,table1!B14,"")</f>
        <v>18.791061058563766</v>
      </c>
      <c r="C14" s="30">
        <f>IF(table1!K14=1,table1!C14,"")</f>
        <v>2694.416138977549</v>
      </c>
      <c r="D14" s="30">
        <f>IF(table1!K14=1,table1!D14,"")</f>
        <v>286.76204118535003</v>
      </c>
      <c r="E14" s="30">
        <f>IF(table1!K14=1,table1!E14,"")</f>
        <v>332.64396777500605</v>
      </c>
    </row>
    <row r="15" spans="1:5" ht="12.75">
      <c r="A15" s="20">
        <f>IF(table1!K15=1,table1!A15,"")</f>
        <v>17</v>
      </c>
      <c r="B15" s="20">
        <f>IF(table1!K15=1,table1!B15,"")</f>
        <v>21.213346273144253</v>
      </c>
      <c r="C15" s="30">
        <f>IF(table1!K15=1,table1!C15,"")</f>
        <v>2386.7492442154066</v>
      </c>
      <c r="D15" s="30">
        <f>IF(table1!K15=1,table1!D15,"")</f>
        <v>254.01758665553496</v>
      </c>
      <c r="E15" s="30">
        <f>IF(table1!K15=1,table1!E15,"")</f>
        <v>294.6604005204205</v>
      </c>
    </row>
    <row r="16" spans="1:5" ht="12.75">
      <c r="A16" s="20">
        <f>IF(table1!K16=1,table1!A16,"")</f>
        <v>18</v>
      </c>
      <c r="B16" s="20">
        <f>IF(table1!K16=1,table1!B16,"")</f>
        <v>23.782436652244765</v>
      </c>
      <c r="C16" s="30">
        <f>IF(table1!K16=1,table1!C16,"")</f>
        <v>2128.921393760039</v>
      </c>
      <c r="D16" s="30">
        <f>IF(table1!K16=1,table1!D16,"")</f>
        <v>226.57741525756052</v>
      </c>
      <c r="E16" s="30">
        <f>IF(table1!K16=1,table1!E16,"")</f>
        <v>262.8298016987702</v>
      </c>
    </row>
    <row r="17" spans="1:5" ht="12.75">
      <c r="A17" s="20">
        <f>IF(table1!K17=1,table1!A17,"")</f>
        <v>19</v>
      </c>
      <c r="B17" s="20">
        <f>IF(table1!K17=1,table1!B17,"")</f>
        <v>26.49833219586531</v>
      </c>
      <c r="C17" s="30">
        <f>IF(table1!K17=1,table1!C17,"")</f>
        <v>1910.7216941225834</v>
      </c>
      <c r="D17" s="30">
        <f>IF(table1!K17=1,table1!D17,"")</f>
        <v>203.3547992893341</v>
      </c>
      <c r="E17" s="30">
        <f>IF(table1!K17=1,table1!E17,"")</f>
        <v>235.89156717562756</v>
      </c>
    </row>
    <row r="18" spans="1:5" ht="12.75">
      <c r="A18" s="20">
        <f>IF(table1!K18=1,table1!A18,"")</f>
      </c>
      <c r="B18" s="20">
        <f>IF(table1!K18=1,table1!B18,"")</f>
      </c>
      <c r="C18" s="30">
        <f>IF(table1!K18=1,table1!C18,"")</f>
      </c>
      <c r="D18" s="30">
        <f>IF(table1!K18=1,table1!D18,"")</f>
      </c>
      <c r="E18" s="30">
        <f>IF(table1!K18=1,table1!E18,"")</f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Manière</dc:creator>
  <cp:keywords/>
  <dc:description/>
  <cp:lastModifiedBy>Yves Manière</cp:lastModifiedBy>
  <dcterms:created xsi:type="dcterms:W3CDTF">2010-06-12T20:55:05Z</dcterms:created>
  <dcterms:modified xsi:type="dcterms:W3CDTF">2011-05-21T13:16:08Z</dcterms:modified>
  <cp:category/>
  <cp:version/>
  <cp:contentType/>
  <cp:contentStatus/>
  <cp:revision>9</cp:revision>
</cp:coreProperties>
</file>